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rha4115.NW\AppData\Local\Temp\47\"/>
    </mc:Choice>
  </mc:AlternateContent>
  <bookViews>
    <workbookView xWindow="0" yWindow="0" windowWidth="18750" windowHeight="7770"/>
  </bookViews>
  <sheets>
    <sheet name="Свод" sheetId="1" r:id="rId1"/>
    <sheet name="Предпроект" sheetId="2" r:id="rId2"/>
    <sheet name="Проект" sheetId="5" r:id="rId3"/>
  </sheets>
  <definedNames>
    <definedName name="_xlnm._FilterDatabase" localSheetId="2" hidden="1">Проект!$B$6:$F$44</definedName>
    <definedName name="_xlnm.Print_Area" localSheetId="1">Предпроект!$B$1:$F$23</definedName>
    <definedName name="_xlnm.Print_Area" localSheetId="2">Проект!$B$1:$F$44</definedName>
    <definedName name="_xlnm.Print_Area" localSheetId="0">Свод!$A$1:$F$21</definedName>
  </definedNames>
  <calcPr calcId="152511"/>
</workbook>
</file>

<file path=xl/calcChain.xml><?xml version="1.0" encoding="utf-8"?>
<calcChain xmlns="http://schemas.openxmlformats.org/spreadsheetml/2006/main">
  <c r="F11" i="1" l="1"/>
  <c r="E40" i="5" l="1"/>
  <c r="E38" i="5"/>
  <c r="E33" i="5"/>
  <c r="E29" i="5"/>
  <c r="F25" i="5"/>
  <c r="E18" i="5"/>
  <c r="F10" i="5"/>
  <c r="E14" i="5" s="1"/>
  <c r="F28" i="5" l="1"/>
  <c r="F13" i="5"/>
  <c r="E35" i="5"/>
  <c r="F34" i="5" s="1"/>
  <c r="E37" i="5"/>
  <c r="E36" i="5"/>
  <c r="E21" i="5" l="1"/>
  <c r="E20" i="5"/>
  <c r="E23" i="5"/>
  <c r="E22" i="5"/>
  <c r="F19" i="5" l="1"/>
  <c r="F12" i="2" l="1"/>
  <c r="B2" i="5" l="1"/>
  <c r="B4" i="2"/>
  <c r="E17" i="2"/>
  <c r="F16" i="2" l="1"/>
  <c r="F11" i="2" s="1"/>
  <c r="F19" i="2" s="1"/>
  <c r="F20" i="2" l="1"/>
  <c r="F21" i="2" s="1"/>
  <c r="F9" i="1"/>
  <c r="F39" i="5" l="1"/>
  <c r="F42" i="5" l="1"/>
  <c r="F43" i="5" l="1"/>
  <c r="F44" i="5" s="1"/>
  <c r="F10" i="1"/>
  <c r="F12" i="1" l="1"/>
  <c r="F13" i="1" s="1"/>
  <c r="F14" i="1" l="1"/>
</calcChain>
</file>

<file path=xl/sharedStrings.xml><?xml version="1.0" encoding="utf-8"?>
<sst xmlns="http://schemas.openxmlformats.org/spreadsheetml/2006/main" count="103" uniqueCount="74">
  <si>
    <t>№ п/п</t>
  </si>
  <si>
    <t>Участник: ООО «Вологодская проектно-строительная компания»</t>
  </si>
  <si>
    <t>Наименование видов работ</t>
  </si>
  <si>
    <t>Единица измерения</t>
  </si>
  <si>
    <t>Ссылка на номер локальной сметы</t>
  </si>
  <si>
    <t>комплект</t>
  </si>
  <si>
    <t>Смета №1</t>
  </si>
  <si>
    <t>1</t>
  </si>
  <si>
    <t>3</t>
  </si>
  <si>
    <t>Общая стоимость. руб. без НДС</t>
  </si>
  <si>
    <t>Итого без НДС</t>
  </si>
  <si>
    <t>Итого с НДС</t>
  </si>
  <si>
    <t>Смета №3</t>
  </si>
  <si>
    <t>Стоимость предпроектных работ</t>
  </si>
  <si>
    <t xml:space="preserve">Стоимость проектных работ </t>
  </si>
  <si>
    <t xml:space="preserve">СМЕТА №1 Предпроектные работы </t>
  </si>
  <si>
    <t>Наименование зданий,сооружений, видов  проектных работ</t>
  </si>
  <si>
    <t>Сборник цен на предпроектные работы для электросетевого строительства
№№таблиц и пунктов, формула для расчета</t>
  </si>
  <si>
    <t>Расчет стоимости работ, значение частного показателя</t>
  </si>
  <si>
    <t>Итого стоимость работ по пункту, руб.</t>
  </si>
  <si>
    <t>Работы по сбору данных и обследованию подстанций, РПБ, РЭП и других электросетевых объектов</t>
  </si>
  <si>
    <t>1.1.</t>
  </si>
  <si>
    <t xml:space="preserve">Стоимость предпроектных работ в ценах 01.01.1991г. </t>
  </si>
  <si>
    <r>
      <t>Ст-ть</t>
    </r>
    <r>
      <rPr>
        <vertAlign val="subscript"/>
        <sz val="10"/>
        <rFont val="Arial"/>
        <family val="2"/>
        <charset val="204"/>
      </rPr>
      <t>ид1</t>
    </r>
    <r>
      <rPr>
        <sz val="10"/>
        <rFont val="Arial"/>
        <family val="2"/>
        <charset val="204"/>
      </rPr>
      <t xml:space="preserve"> - Сбор и обобщение документации по действующей ПС (Таблица 7)</t>
    </r>
  </si>
  <si>
    <t>1.2</t>
  </si>
  <si>
    <t>Стоимость предпроектных работ в текущих ценах</t>
  </si>
  <si>
    <r>
      <t>Стоимость</t>
    </r>
    <r>
      <rPr>
        <b/>
        <u/>
        <vertAlign val="subscript"/>
        <sz val="10"/>
        <rFont val="Arial"/>
        <family val="2"/>
        <charset val="204"/>
      </rPr>
      <t>ТЕК</t>
    </r>
    <r>
      <rPr>
        <b/>
        <u/>
        <sz val="10"/>
        <rFont val="Arial"/>
        <family val="2"/>
        <charset val="204"/>
      </rPr>
      <t xml:space="preserve"> = Стоимость</t>
    </r>
    <r>
      <rPr>
        <b/>
        <u/>
        <vertAlign val="subscript"/>
        <sz val="10"/>
        <rFont val="Arial"/>
        <family val="2"/>
        <charset val="204"/>
      </rPr>
      <t>1991</t>
    </r>
    <r>
      <rPr>
        <b/>
        <u/>
        <sz val="10"/>
        <rFont val="Arial"/>
        <family val="2"/>
        <charset val="204"/>
      </rPr>
      <t xml:space="preserve"> * К</t>
    </r>
  </si>
  <si>
    <r>
      <t>Стоимость</t>
    </r>
    <r>
      <rPr>
        <vertAlign val="subscript"/>
        <sz val="10"/>
        <rFont val="Arial"/>
        <family val="2"/>
        <charset val="204"/>
      </rPr>
      <t>1991</t>
    </r>
    <r>
      <rPr>
        <sz val="10"/>
        <rFont val="Arial"/>
        <family val="2"/>
        <charset val="204"/>
      </rPr>
      <t xml:space="preserve"> - Стоимость общих предпроектных работ в ценах 01.01.1991г.</t>
    </r>
  </si>
  <si>
    <t>ИТОГО ПО СМЕТЕ</t>
  </si>
  <si>
    <t>ВСЕГО</t>
  </si>
  <si>
    <t>2.1.</t>
  </si>
  <si>
    <t>N - количество ПС</t>
  </si>
  <si>
    <t>2.2.</t>
  </si>
  <si>
    <t>2</t>
  </si>
  <si>
    <t>"Справочник базовых цен на проектные работы для строительства. Объекты энергетики" (СБЦ-2001) 
"Сборник укрупненных показателей стоимости строительства (реконструкции) подстанций и линий электропередач для нужд ОАО "Холдинг МРСК", 2012 (ОУСН-2001)
№№таблиц и пунктов, формула для расчета</t>
  </si>
  <si>
    <t>Стоимость разработки стоимости  программно-технологических комплексов 
АСУ ТП</t>
  </si>
  <si>
    <t xml:space="preserve">Стоимость  строительно-монтажных работ  в ценах 01.01.2001г. </t>
  </si>
  <si>
    <r>
      <t>Стоимость</t>
    </r>
    <r>
      <rPr>
        <b/>
        <vertAlign val="subscript"/>
        <sz val="10"/>
        <rFont val="Arial"/>
        <family val="2"/>
        <charset val="204"/>
      </rPr>
      <t>2001</t>
    </r>
    <r>
      <rPr>
        <b/>
        <sz val="10"/>
        <rFont val="Arial"/>
        <family val="2"/>
        <charset val="204"/>
      </rPr>
      <t xml:space="preserve"> = БС*N, где</t>
    </r>
  </si>
  <si>
    <t>БС - Базовая  стоимость   программно-технологических комплексов АСУ ТП
 (ОУСН-2001 Таблица 26), руб.</t>
  </si>
  <si>
    <t>N - количество комплексов (подстанций)</t>
  </si>
  <si>
    <t>1.2.</t>
  </si>
  <si>
    <t xml:space="preserve">Базовая стоимость проектных работ по ПС 110кВ  в ценах 01.01.2001г. </t>
  </si>
  <si>
    <r>
      <t>ПР</t>
    </r>
    <r>
      <rPr>
        <b/>
        <vertAlign val="subscript"/>
        <sz val="10"/>
        <rFont val="Arial"/>
        <family val="2"/>
        <charset val="204"/>
      </rPr>
      <t>2001</t>
    </r>
    <r>
      <rPr>
        <b/>
        <sz val="10"/>
        <rFont val="Arial"/>
        <family val="2"/>
        <charset val="204"/>
      </rPr>
      <t xml:space="preserve"> = ПР</t>
    </r>
    <r>
      <rPr>
        <b/>
        <vertAlign val="subscript"/>
        <sz val="10"/>
        <rFont val="Arial"/>
        <family val="2"/>
        <charset val="204"/>
      </rPr>
      <t>2</t>
    </r>
    <r>
      <rPr>
        <b/>
        <sz val="10"/>
        <rFont val="Arial"/>
        <family val="2"/>
        <charset val="204"/>
      </rPr>
      <t>-(ПР</t>
    </r>
    <r>
      <rPr>
        <b/>
        <vertAlign val="subscript"/>
        <sz val="10"/>
        <rFont val="Arial"/>
        <family val="2"/>
        <charset val="204"/>
      </rPr>
      <t>2</t>
    </r>
    <r>
      <rPr>
        <b/>
        <sz val="10"/>
        <rFont val="Arial"/>
        <family val="2"/>
        <charset val="204"/>
      </rPr>
      <t>-ПР</t>
    </r>
    <r>
      <rPr>
        <b/>
        <vertAlign val="subscript"/>
        <sz val="10"/>
        <rFont val="Arial"/>
        <family val="2"/>
        <charset val="204"/>
      </rPr>
      <t>1</t>
    </r>
    <r>
      <rPr>
        <b/>
        <sz val="10"/>
        <rFont val="Arial"/>
        <family val="2"/>
        <charset val="204"/>
      </rPr>
      <t>)/(С</t>
    </r>
    <r>
      <rPr>
        <b/>
        <vertAlign val="subscript"/>
        <sz val="10"/>
        <rFont val="Arial"/>
        <family val="2"/>
        <charset val="204"/>
      </rPr>
      <t>2</t>
    </r>
    <r>
      <rPr>
        <b/>
        <sz val="10"/>
        <rFont val="Arial"/>
        <family val="2"/>
        <charset val="204"/>
      </rPr>
      <t>-С</t>
    </r>
    <r>
      <rPr>
        <b/>
        <vertAlign val="subscript"/>
        <sz val="10"/>
        <rFont val="Arial"/>
        <family val="2"/>
        <charset val="204"/>
      </rPr>
      <t>1</t>
    </r>
    <r>
      <rPr>
        <b/>
        <sz val="10"/>
        <rFont val="Arial"/>
        <family val="2"/>
        <charset val="204"/>
      </rPr>
      <t>)/(С</t>
    </r>
    <r>
      <rPr>
        <b/>
        <vertAlign val="subscript"/>
        <sz val="10"/>
        <rFont val="Arial"/>
        <family val="2"/>
        <charset val="204"/>
      </rPr>
      <t>2</t>
    </r>
    <r>
      <rPr>
        <b/>
        <sz val="10"/>
        <rFont val="Arial"/>
        <family val="2"/>
        <charset val="204"/>
      </rPr>
      <t>-Стоимость</t>
    </r>
    <r>
      <rPr>
        <b/>
        <vertAlign val="subscript"/>
        <sz val="10"/>
        <rFont val="Arial"/>
        <family val="2"/>
        <charset val="204"/>
      </rPr>
      <t>2001</t>
    </r>
    <r>
      <rPr>
        <b/>
        <sz val="10"/>
        <rFont val="Arial"/>
        <family val="2"/>
        <charset val="204"/>
      </rPr>
      <t xml:space="preserve">)  </t>
    </r>
    <r>
      <rPr>
        <sz val="10"/>
        <rFont val="Arial"/>
        <family val="2"/>
        <charset val="204"/>
      </rPr>
      <t>(СБЦ-2001. приложение 4)</t>
    </r>
    <r>
      <rPr>
        <b/>
        <sz val="10"/>
        <rFont val="Arial"/>
        <family val="2"/>
        <charset val="204"/>
      </rPr>
      <t>, где</t>
    </r>
  </si>
  <si>
    <t xml:space="preserve">Стоимость2001 - Стоимость реконструкции ПС-110кВ в ценах 01.01.2001г. </t>
  </si>
  <si>
    <r>
      <t>С</t>
    </r>
    <r>
      <rPr>
        <vertAlign val="subscript"/>
        <sz val="10"/>
        <rFont val="Arial"/>
        <family val="2"/>
        <charset val="204"/>
      </rPr>
      <t>2</t>
    </r>
    <r>
      <rPr>
        <sz val="10"/>
        <rFont val="Arial"/>
        <family val="2"/>
        <charset val="204"/>
      </rPr>
      <t xml:space="preserve"> - Ближайшая табличная стоимость, превышающая стоимость по п.1.1 (СБЦ-2001 Таблица 8) </t>
    </r>
  </si>
  <si>
    <r>
      <t>С</t>
    </r>
    <r>
      <rPr>
        <vertAlign val="subscript"/>
        <sz val="10"/>
        <rFont val="Arial"/>
        <family val="2"/>
        <charset val="204"/>
      </rPr>
      <t>1</t>
    </r>
    <r>
      <rPr>
        <sz val="10"/>
        <rFont val="Arial"/>
        <family val="2"/>
        <charset val="204"/>
      </rPr>
      <t xml:space="preserve"> - Ближайшая табличная стоимость, не превышающая стоимость по п.1.1   (СБЦ-2001 Таблица 8) </t>
    </r>
  </si>
  <si>
    <r>
      <t>ПР</t>
    </r>
    <r>
      <rPr>
        <vertAlign val="subscript"/>
        <sz val="10"/>
        <rFont val="Arial"/>
        <family val="2"/>
        <charset val="204"/>
      </rPr>
      <t>2</t>
    </r>
    <r>
      <rPr>
        <sz val="10"/>
        <rFont val="Arial"/>
        <family val="2"/>
        <charset val="204"/>
      </rPr>
      <t xml:space="preserve"> - Базовая цена проектных работ в ценах на 01.01.2001 г., млн. руб., соответствующая табличной стоимости строительства С</t>
    </r>
    <r>
      <rPr>
        <vertAlign val="subscript"/>
        <sz val="10"/>
        <rFont val="Arial"/>
        <family val="2"/>
        <charset val="204"/>
      </rPr>
      <t>2</t>
    </r>
    <r>
      <rPr>
        <sz val="10"/>
        <rFont val="Arial"/>
        <family val="2"/>
        <charset val="204"/>
      </rPr>
      <t xml:space="preserve">  (СБЦ-2001 Таблица 8) </t>
    </r>
  </si>
  <si>
    <r>
      <t>ПР</t>
    </r>
    <r>
      <rPr>
        <vertAlign val="subscript"/>
        <sz val="10"/>
        <rFont val="Arial"/>
        <family val="2"/>
        <charset val="204"/>
      </rPr>
      <t>1</t>
    </r>
    <r>
      <rPr>
        <sz val="10"/>
        <rFont val="Arial"/>
        <family val="2"/>
        <charset val="204"/>
      </rPr>
      <t xml:space="preserve"> - Базовая цена проектных работ в ценах на 01.01.2001 г., млн. руб., соответствующая табличной стоимости строительства С</t>
    </r>
    <r>
      <rPr>
        <vertAlign val="subscript"/>
        <sz val="10"/>
        <rFont val="Arial"/>
        <family val="2"/>
        <charset val="204"/>
      </rPr>
      <t>1</t>
    </r>
    <r>
      <rPr>
        <sz val="10"/>
        <rFont val="Arial"/>
        <family val="2"/>
        <charset val="204"/>
      </rPr>
      <t xml:space="preserve">   (СБЦ-2001 Таблица 8) </t>
    </r>
  </si>
  <si>
    <t>Стоимость разработки стоимости  программно-технологических комплексов 
системы телемеханики</t>
  </si>
  <si>
    <t>БС - Базовая  стоимость   программно-технологических комплексов системы телемеханики
 (ОУСН-2001 Таблица 26), руб.</t>
  </si>
  <si>
    <r>
      <t>ПР</t>
    </r>
    <r>
      <rPr>
        <b/>
        <vertAlign val="subscript"/>
        <sz val="10"/>
        <rFont val="Arial"/>
        <family val="2"/>
        <charset val="204"/>
      </rPr>
      <t>2014</t>
    </r>
    <r>
      <rPr>
        <b/>
        <sz val="10"/>
        <rFont val="Arial"/>
        <family val="2"/>
        <charset val="204"/>
      </rPr>
      <t xml:space="preserve"> = ПР</t>
    </r>
    <r>
      <rPr>
        <b/>
        <vertAlign val="subscript"/>
        <sz val="10"/>
        <rFont val="Arial"/>
        <family val="2"/>
        <charset val="204"/>
      </rPr>
      <t>2001</t>
    </r>
    <r>
      <rPr>
        <b/>
        <sz val="10"/>
        <rFont val="Arial"/>
        <family val="2"/>
        <charset val="204"/>
      </rPr>
      <t>*К</t>
    </r>
    <r>
      <rPr>
        <b/>
        <vertAlign val="subscript"/>
        <sz val="10"/>
        <rFont val="Arial"/>
        <family val="2"/>
        <charset val="204"/>
      </rPr>
      <t>1</t>
    </r>
    <r>
      <rPr>
        <b/>
        <sz val="10"/>
        <rFont val="Arial"/>
        <family val="2"/>
        <charset val="204"/>
      </rPr>
      <t>, где</t>
    </r>
  </si>
  <si>
    <t>1.3</t>
  </si>
  <si>
    <t>Относительная стоимость разработки проектной документации открытых и закрытых электрических подстанций напряжением 110 - 750 кВ, включая ПС 110/20/10 кВ. Таблица А9</t>
  </si>
  <si>
    <t>Электротехническая часть - вторичная коммутация - 14%</t>
  </si>
  <si>
    <t>Архитектурно-строительная часть - 15%</t>
  </si>
  <si>
    <t>Организация строительства - 3%</t>
  </si>
  <si>
    <t>Сметная документация - 10%</t>
  </si>
  <si>
    <t>НДС 20%</t>
  </si>
  <si>
    <t>Стоимость проектных работ по реконструкции  ПС 110кВ    в текущих ценах</t>
  </si>
  <si>
    <t xml:space="preserve">ПР2001 - Базовая стоимость проектных работ по реконструкции ПС 110кВ в ценах 01.01.2001г. </t>
  </si>
  <si>
    <t>Сметный расчет МЭ</t>
  </si>
  <si>
    <t>В ценах 4 квартала 2021 года.</t>
  </si>
  <si>
    <t>К1 - индекс изменения стоимости проектных работ на 4 квартал 2021г. к ценам 1991г. (письмо Минстроя РФ от 25.04.2021 №46012-ИФ/09)</t>
  </si>
  <si>
    <t>НДС  20%</t>
  </si>
  <si>
    <t>К1 - индекс изменения стоимости проектных работ на 4 квартал 2021г. к ценам 2001 г. (письмо Минстроя РФ от 25.04.2021 №46012-ИФ/09)</t>
  </si>
  <si>
    <t>Чижова А.Н</t>
  </si>
  <si>
    <t>Составил: Инженер 1 категории</t>
  </si>
  <si>
    <r>
      <t>Ст-ть</t>
    </r>
    <r>
      <rPr>
        <vertAlign val="subscript"/>
        <sz val="10"/>
        <rFont val="Arial"/>
        <family val="2"/>
        <charset val="204"/>
      </rPr>
      <t>ид2</t>
    </r>
    <r>
      <rPr>
        <sz val="10"/>
        <rFont val="Arial"/>
        <family val="2"/>
        <charset val="204"/>
      </rPr>
      <t xml:space="preserve"> -  Составление отчета по результатам работы, рекомендации комиссии (Таблица 7)</t>
    </r>
  </si>
  <si>
    <r>
      <t>Стоимость</t>
    </r>
    <r>
      <rPr>
        <b/>
        <u/>
        <vertAlign val="subscript"/>
        <sz val="10"/>
        <rFont val="Arial"/>
        <family val="2"/>
        <charset val="204"/>
      </rPr>
      <t>1991</t>
    </r>
    <r>
      <rPr>
        <b/>
        <u/>
        <sz val="10"/>
        <rFont val="Arial"/>
        <family val="2"/>
        <charset val="204"/>
      </rPr>
      <t xml:space="preserve"> = (Ст-ть</t>
    </r>
    <r>
      <rPr>
        <b/>
        <u/>
        <vertAlign val="subscript"/>
        <sz val="10"/>
        <rFont val="Arial"/>
        <family val="2"/>
        <charset val="204"/>
      </rPr>
      <t>ид1</t>
    </r>
    <r>
      <rPr>
        <b/>
        <u/>
        <sz val="10"/>
        <rFont val="Arial"/>
        <family val="2"/>
        <charset val="204"/>
      </rPr>
      <t xml:space="preserve"> + Ст-ть</t>
    </r>
    <r>
      <rPr>
        <b/>
        <u/>
        <vertAlign val="subscript"/>
        <sz val="10"/>
        <rFont val="Arial"/>
        <family val="2"/>
        <charset val="204"/>
      </rPr>
      <t>ид2</t>
    </r>
    <r>
      <rPr>
        <b/>
        <u/>
        <sz val="10"/>
        <rFont val="Arial"/>
        <family val="2"/>
        <charset val="204"/>
      </rPr>
      <t>)*N</t>
    </r>
  </si>
  <si>
    <t>2.</t>
  </si>
  <si>
    <t>СМЕТА №2  Проектные работы</t>
  </si>
  <si>
    <t>000-13-1-04.40-1357 Проектирование. Модернизация комплекса телемеханики ССПИ на ПС-110/10 кВ № 311 "Шипицино" Архангельская область, Котласский район, п.Шипицыно (1 комплекс)</t>
  </si>
  <si>
    <t>С учетом индекса-дефлятора (до 2026 г.) =((105,1+100)/200)*1,049*1,047*1,047*1,047</t>
  </si>
  <si>
    <t>В ценах 4 квартала 2021 года с переводом в прогнозный уровень цен 2026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</si>
</sst>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00000000"/>
    <numFmt numFmtId="165" formatCode="0.0000000000000"/>
  </numFmts>
  <fonts count="17" x14ac:knownFonts="1">
    <font>
      <sz val="10"/>
      <name val="Arial Cyr"/>
      <charset val="204"/>
    </font>
    <font>
      <sz val="10"/>
      <name val="Book Antiqua"/>
      <family val="1"/>
      <charset val="204"/>
    </font>
    <font>
      <b/>
      <sz val="10"/>
      <name val="Arial Cyr"/>
      <charset val="204"/>
    </font>
    <font>
      <sz val="12"/>
      <name val="Times New Roman"/>
      <family val="1"/>
      <charset val="204"/>
    </font>
    <font>
      <i/>
      <sz val="12"/>
      <name val="Book Antiqua"/>
      <family val="1"/>
      <charset val="204"/>
    </font>
    <font>
      <sz val="12"/>
      <name val="Book Antiqua"/>
      <family val="1"/>
      <charset val="204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name val="Times New Roman"/>
      <family val="1"/>
      <charset val="204"/>
    </font>
    <font>
      <sz val="8"/>
      <name val="Book Antiqua"/>
      <family val="1"/>
      <charset val="204"/>
    </font>
    <font>
      <u/>
      <sz val="10"/>
      <name val="Book Antiqua"/>
      <family val="1"/>
      <charset val="204"/>
    </font>
    <font>
      <b/>
      <u/>
      <sz val="10"/>
      <name val="Arial"/>
      <family val="2"/>
      <charset val="204"/>
    </font>
    <font>
      <b/>
      <u/>
      <vertAlign val="subscript"/>
      <sz val="10"/>
      <name val="Arial"/>
      <family val="2"/>
      <charset val="204"/>
    </font>
    <font>
      <vertAlign val="subscript"/>
      <sz val="10"/>
      <name val="Arial"/>
      <family val="2"/>
      <charset val="204"/>
    </font>
    <font>
      <b/>
      <vertAlign val="subscript"/>
      <sz val="1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59999389629810485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02">
    <xf numFmtId="0" fontId="0" fillId="0" borderId="0" xfId="0"/>
    <xf numFmtId="0" fontId="0" fillId="0" borderId="0" xfId="0" applyFont="1"/>
    <xf numFmtId="0" fontId="0" fillId="0" borderId="0" xfId="0" applyFont="1" applyAlignment="1">
      <alignment horizontal="center" vertical="center" wrapText="1"/>
    </xf>
    <xf numFmtId="0" fontId="1" fillId="0" borderId="0" xfId="0" applyFont="1"/>
    <xf numFmtId="4" fontId="0" fillId="0" borderId="0" xfId="0" applyNumberFormat="1" applyFont="1"/>
    <xf numFmtId="0" fontId="3" fillId="0" borderId="0" xfId="0" applyFont="1" applyBorder="1"/>
    <xf numFmtId="0" fontId="4" fillId="0" borderId="0" xfId="0" applyFont="1"/>
    <xf numFmtId="0" fontId="0" fillId="0" borderId="0" xfId="0" applyFont="1" applyAlignment="1">
      <alignment horizontal="justify" vertical="center" wrapText="1"/>
    </xf>
    <xf numFmtId="0" fontId="0" fillId="0" borderId="0" xfId="0" applyFont="1" applyAlignment="1">
      <alignment horizontal="justify"/>
    </xf>
    <xf numFmtId="4" fontId="3" fillId="0" borderId="0" xfId="0" applyNumberFormat="1" applyFont="1" applyBorder="1"/>
    <xf numFmtId="4" fontId="0" fillId="0" borderId="0" xfId="0" applyNumberFormat="1" applyFont="1" applyAlignment="1">
      <alignment horizontal="center" vertical="center" wrapText="1"/>
    </xf>
    <xf numFmtId="49" fontId="5" fillId="0" borderId="0" xfId="0" applyNumberFormat="1" applyFont="1" applyBorder="1"/>
    <xf numFmtId="49" fontId="4" fillId="0" borderId="0" xfId="0" applyNumberFormat="1" applyFont="1" applyBorder="1"/>
    <xf numFmtId="49" fontId="0" fillId="0" borderId="0" xfId="0" applyNumberFormat="1" applyFont="1" applyAlignment="1">
      <alignment horizontal="center" vertical="center" wrapText="1"/>
    </xf>
    <xf numFmtId="49" fontId="0" fillId="0" borderId="0" xfId="0" applyNumberFormat="1" applyFont="1"/>
    <xf numFmtId="49" fontId="8" fillId="0" borderId="2" xfId="0" applyNumberFormat="1" applyFont="1" applyBorder="1" applyAlignment="1">
      <alignment horizontal="center" vertical="center" wrapText="1"/>
    </xf>
    <xf numFmtId="4" fontId="8" fillId="0" borderId="2" xfId="0" applyNumberFormat="1" applyFont="1" applyBorder="1" applyAlignment="1">
      <alignment horizontal="center" vertical="center" wrapText="1"/>
    </xf>
    <xf numFmtId="0" fontId="10" fillId="0" borderId="3" xfId="0" applyFont="1" applyBorder="1"/>
    <xf numFmtId="0" fontId="11" fillId="0" borderId="0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4" fontId="9" fillId="2" borderId="1" xfId="0" applyNumberFormat="1" applyFont="1" applyFill="1" applyBorder="1" applyAlignment="1">
      <alignment horizontal="center"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left" vertical="center" wrapText="1"/>
    </xf>
    <xf numFmtId="164" fontId="0" fillId="0" borderId="0" xfId="0" applyNumberFormat="1" applyFont="1"/>
    <xf numFmtId="165" fontId="0" fillId="0" borderId="0" xfId="0" applyNumberFormat="1" applyFont="1"/>
    <xf numFmtId="0" fontId="0" fillId="0" borderId="1" xfId="0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49" fontId="3" fillId="0" borderId="0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horizontal="center" vertical="center" wrapText="1"/>
    </xf>
    <xf numFmtId="4" fontId="3" fillId="0" borderId="0" xfId="0" applyNumberFormat="1" applyFont="1" applyBorder="1" applyAlignment="1">
      <alignment horizontal="center" vertical="center" wrapText="1"/>
    </xf>
    <xf numFmtId="49" fontId="9" fillId="3" borderId="4" xfId="0" applyNumberFormat="1" applyFont="1" applyFill="1" applyBorder="1" applyAlignment="1">
      <alignment horizontal="center" vertical="center" wrapText="1"/>
    </xf>
    <xf numFmtId="4" fontId="9" fillId="3" borderId="7" xfId="0" applyNumberFormat="1" applyFont="1" applyFill="1" applyBorder="1" applyAlignment="1">
      <alignment horizontal="center" vertical="center" wrapText="1"/>
    </xf>
    <xf numFmtId="4" fontId="8" fillId="0" borderId="12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justify" vertical="center" wrapText="1"/>
    </xf>
    <xf numFmtId="0" fontId="8" fillId="0" borderId="1" xfId="0" applyFont="1" applyBorder="1" applyAlignment="1">
      <alignment horizontal="center" vertical="center" wrapText="1"/>
    </xf>
    <xf numFmtId="4" fontId="8" fillId="3" borderId="15" xfId="0" applyNumberFormat="1" applyFont="1" applyFill="1" applyBorder="1" applyAlignment="1">
      <alignment horizontal="center" vertical="center" wrapText="1"/>
    </xf>
    <xf numFmtId="4" fontId="8" fillId="0" borderId="15" xfId="0" applyNumberFormat="1" applyFont="1" applyBorder="1" applyAlignment="1">
      <alignment horizontal="center" vertical="center" wrapText="1"/>
    </xf>
    <xf numFmtId="4" fontId="8" fillId="0" borderId="1" xfId="0" applyNumberFormat="1" applyFont="1" applyBorder="1" applyAlignment="1">
      <alignment horizontal="center" vertical="center" wrapText="1"/>
    </xf>
    <xf numFmtId="49" fontId="0" fillId="0" borderId="20" xfId="0" applyNumberFormat="1" applyFont="1" applyBorder="1" applyAlignment="1">
      <alignment horizontal="center" vertical="center" wrapText="1"/>
    </xf>
    <xf numFmtId="0" fontId="0" fillId="0" borderId="21" xfId="0" applyFont="1" applyBorder="1" applyAlignment="1">
      <alignment horizontal="center" vertical="center" wrapText="1"/>
    </xf>
    <xf numFmtId="4" fontId="2" fillId="0" borderId="22" xfId="0" applyNumberFormat="1" applyFont="1" applyBorder="1" applyAlignment="1">
      <alignment horizontal="center" vertical="center" wrapText="1"/>
    </xf>
    <xf numFmtId="49" fontId="0" fillId="0" borderId="23" xfId="0" applyNumberFormat="1" applyFont="1" applyBorder="1" applyAlignment="1">
      <alignment horizontal="center" vertical="center" wrapText="1"/>
    </xf>
    <xf numFmtId="4" fontId="2" fillId="0" borderId="15" xfId="0" applyNumberFormat="1" applyFont="1" applyBorder="1" applyAlignment="1">
      <alignment horizontal="center" vertical="center" wrapText="1"/>
    </xf>
    <xf numFmtId="49" fontId="0" fillId="0" borderId="24" xfId="0" applyNumberFormat="1" applyFont="1" applyBorder="1" applyAlignment="1">
      <alignment horizontal="center" vertical="center" wrapText="1"/>
    </xf>
    <xf numFmtId="0" fontId="0" fillId="0" borderId="27" xfId="0" applyFont="1" applyBorder="1" applyAlignment="1">
      <alignment horizontal="center" vertical="center" wrapText="1"/>
    </xf>
    <xf numFmtId="4" fontId="2" fillId="0" borderId="28" xfId="0" applyNumberFormat="1" applyFont="1" applyBorder="1" applyAlignment="1">
      <alignment horizontal="center" vertical="center" wrapText="1"/>
    </xf>
    <xf numFmtId="0" fontId="0" fillId="0" borderId="0" xfId="0" applyFont="1" applyBorder="1"/>
    <xf numFmtId="0" fontId="3" fillId="0" borderId="0" xfId="0" applyFont="1" applyBorder="1" applyAlignment="1">
      <alignment horizontal="center" vertical="center" wrapText="1"/>
    </xf>
    <xf numFmtId="3" fontId="8" fillId="3" borderId="15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justify" vertical="center" wrapText="1"/>
    </xf>
    <xf numFmtId="3" fontId="8" fillId="0" borderId="1" xfId="0" applyNumberFormat="1" applyFont="1" applyBorder="1" applyAlignment="1">
      <alignment horizontal="center" vertical="center" wrapText="1"/>
    </xf>
    <xf numFmtId="0" fontId="8" fillId="0" borderId="27" xfId="0" applyFont="1" applyBorder="1" applyAlignment="1">
      <alignment horizontal="justify" vertical="center" wrapText="1"/>
    </xf>
    <xf numFmtId="0" fontId="8" fillId="0" borderId="2" xfId="0" applyFont="1" applyBorder="1" applyAlignment="1">
      <alignment horizontal="center" vertical="center" wrapText="1"/>
    </xf>
    <xf numFmtId="4" fontId="8" fillId="0" borderId="22" xfId="0" applyNumberFormat="1" applyFont="1" applyBorder="1" applyAlignment="1">
      <alignment horizontal="center" vertical="center" wrapText="1"/>
    </xf>
    <xf numFmtId="4" fontId="8" fillId="4" borderId="22" xfId="0" applyNumberFormat="1" applyFont="1" applyFill="1" applyBorder="1" applyAlignment="1">
      <alignment horizontal="center" vertical="center" wrapText="1"/>
    </xf>
    <xf numFmtId="4" fontId="8" fillId="3" borderId="28" xfId="0" applyNumberFormat="1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2" borderId="1" xfId="0" applyFont="1" applyFill="1" applyBorder="1" applyAlignment="1">
      <alignment horizontal="left"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2" borderId="1" xfId="0" applyFont="1" applyFill="1" applyBorder="1" applyAlignment="1">
      <alignment horizontal="left" vertical="center" wrapText="1"/>
    </xf>
    <xf numFmtId="49" fontId="8" fillId="0" borderId="23" xfId="0" applyNumberFormat="1" applyFont="1" applyBorder="1" applyAlignment="1">
      <alignment horizontal="center" vertical="center" wrapText="1"/>
    </xf>
    <xf numFmtId="49" fontId="8" fillId="0" borderId="0" xfId="0" applyNumberFormat="1" applyFont="1" applyBorder="1" applyAlignment="1">
      <alignment horizontal="center" vertical="center" wrapText="1"/>
    </xf>
    <xf numFmtId="0" fontId="8" fillId="0" borderId="29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/>
    </xf>
    <xf numFmtId="0" fontId="12" fillId="0" borderId="0" xfId="0" applyFont="1" applyBorder="1" applyAlignment="1">
      <alignment horizontal="center"/>
    </xf>
    <xf numFmtId="0" fontId="11" fillId="0" borderId="0" xfId="0" applyFont="1" applyBorder="1" applyAlignment="1">
      <alignment horizontal="center"/>
    </xf>
    <xf numFmtId="0" fontId="2" fillId="0" borderId="1" xfId="0" applyFont="1" applyBorder="1" applyAlignment="1">
      <alignment horizontal="right"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right" vertical="center" wrapText="1"/>
    </xf>
    <xf numFmtId="0" fontId="6" fillId="0" borderId="0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left" vertical="center" wrapText="1"/>
    </xf>
    <xf numFmtId="0" fontId="2" fillId="0" borderId="17" xfId="0" applyFont="1" applyBorder="1" applyAlignment="1">
      <alignment horizontal="left" vertical="center" wrapText="1"/>
    </xf>
    <xf numFmtId="0" fontId="2" fillId="0" borderId="25" xfId="0" applyFont="1" applyBorder="1" applyAlignment="1">
      <alignment horizontal="left" vertical="center" wrapText="1"/>
    </xf>
    <xf numFmtId="0" fontId="2" fillId="0" borderId="26" xfId="0" applyFont="1" applyBorder="1" applyAlignment="1">
      <alignment horizontal="left" vertical="center" wrapText="1"/>
    </xf>
    <xf numFmtId="0" fontId="9" fillId="3" borderId="5" xfId="0" applyFont="1" applyFill="1" applyBorder="1" applyAlignment="1">
      <alignment horizontal="center" vertical="center" wrapText="1"/>
    </xf>
    <xf numFmtId="0" fontId="9" fillId="3" borderId="6" xfId="0" applyFont="1" applyFill="1" applyBorder="1" applyAlignment="1">
      <alignment horizontal="center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49" fontId="8" fillId="0" borderId="13" xfId="0" applyNumberFormat="1" applyFont="1" applyBorder="1" applyAlignment="1">
      <alignment horizontal="center" vertical="center" wrapText="1"/>
    </xf>
    <xf numFmtId="0" fontId="8" fillId="0" borderId="9" xfId="0" applyFont="1" applyBorder="1" applyAlignment="1">
      <alignment horizontal="left" vertical="center" wrapText="1"/>
    </xf>
    <xf numFmtId="0" fontId="8" fillId="0" borderId="14" xfId="0" applyFont="1" applyBorder="1" applyAlignment="1">
      <alignment horizontal="left" vertical="center" wrapText="1"/>
    </xf>
    <xf numFmtId="0" fontId="13" fillId="0" borderId="10" xfId="0" applyFont="1" applyBorder="1" applyAlignment="1">
      <alignment horizontal="justify" vertical="center" wrapText="1"/>
    </xf>
    <xf numFmtId="0" fontId="13" fillId="0" borderId="11" xfId="0" applyFont="1" applyBorder="1" applyAlignment="1">
      <alignment horizontal="justify" vertical="center" wrapText="1"/>
    </xf>
    <xf numFmtId="49" fontId="8" fillId="0" borderId="18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0" fontId="8" fillId="0" borderId="19" xfId="0" applyFont="1" applyBorder="1" applyAlignment="1">
      <alignment horizontal="center" vertical="center" wrapText="1"/>
    </xf>
    <xf numFmtId="0" fontId="13" fillId="0" borderId="16" xfId="0" applyFont="1" applyBorder="1" applyAlignment="1">
      <alignment horizontal="justify" vertical="center" wrapText="1"/>
    </xf>
    <xf numFmtId="0" fontId="13" fillId="0" borderId="17" xfId="0" applyFont="1" applyBorder="1" applyAlignment="1">
      <alignment horizontal="justify" vertical="center" wrapText="1"/>
    </xf>
    <xf numFmtId="0" fontId="2" fillId="0" borderId="21" xfId="0" applyFont="1" applyBorder="1" applyAlignment="1">
      <alignment horizontal="left" vertical="center" wrapText="1"/>
    </xf>
    <xf numFmtId="49" fontId="8" fillId="0" borderId="23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49" fontId="8" fillId="0" borderId="30" xfId="0" applyNumberFormat="1" applyFont="1" applyBorder="1" applyAlignment="1">
      <alignment horizontal="center" vertical="center" wrapText="1"/>
    </xf>
    <xf numFmtId="49" fontId="8" fillId="0" borderId="33" xfId="0" applyNumberFormat="1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34" xfId="0" applyFont="1" applyBorder="1" applyAlignment="1">
      <alignment horizontal="center" vertical="center" wrapText="1"/>
    </xf>
    <xf numFmtId="0" fontId="9" fillId="0" borderId="31" xfId="0" applyFont="1" applyBorder="1" applyAlignment="1">
      <alignment horizontal="justify" vertical="center" wrapText="1"/>
    </xf>
    <xf numFmtId="0" fontId="9" fillId="0" borderId="32" xfId="0" applyFont="1" applyBorder="1" applyAlignment="1">
      <alignment horizontal="justify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20"/>
  <sheetViews>
    <sheetView tabSelected="1" view="pageBreakPreview" topLeftCell="A4" zoomScaleNormal="100" zoomScaleSheetLayoutView="100" workbookViewId="0">
      <selection activeCell="F12" sqref="F12"/>
    </sheetView>
  </sheetViews>
  <sheetFormatPr defaultRowHeight="12.75" x14ac:dyDescent="0.2"/>
  <cols>
    <col min="1" max="1" width="2.28515625" style="1" customWidth="1"/>
    <col min="2" max="2" width="5" style="14" customWidth="1"/>
    <col min="3" max="3" width="45.42578125" style="1" customWidth="1"/>
    <col min="4" max="4" width="13.28515625" style="1" customWidth="1"/>
    <col min="5" max="5" width="14.7109375" style="1" customWidth="1"/>
    <col min="6" max="6" width="15.85546875" style="4" customWidth="1"/>
    <col min="7" max="7" width="15.42578125" style="1" customWidth="1"/>
    <col min="8" max="8" width="18.28515625" style="1" customWidth="1"/>
    <col min="9" max="9" width="3.140625" style="1" customWidth="1"/>
    <col min="10" max="10" width="3.7109375" style="1" customWidth="1"/>
    <col min="11" max="11" width="16.42578125" style="1" customWidth="1"/>
    <col min="12" max="12" width="12" style="1" customWidth="1"/>
    <col min="13" max="13" width="13.28515625" style="1" customWidth="1"/>
    <col min="14" max="14" width="11.7109375" style="1" bestFit="1" customWidth="1"/>
    <col min="15" max="16384" width="9.140625" style="1"/>
  </cols>
  <sheetData>
    <row r="1" spans="2:11" ht="12.75" customHeight="1" x14ac:dyDescent="0.2">
      <c r="B1" s="67" t="s">
        <v>71</v>
      </c>
      <c r="C1" s="67"/>
      <c r="D1" s="67"/>
      <c r="E1" s="67"/>
      <c r="F1" s="67"/>
    </row>
    <row r="2" spans="2:11" s="3" customFormat="1" ht="21" customHeight="1" x14ac:dyDescent="0.25">
      <c r="B2" s="67"/>
      <c r="C2" s="67"/>
      <c r="D2" s="67"/>
      <c r="E2" s="67"/>
      <c r="F2" s="67"/>
      <c r="G2" s="1"/>
      <c r="H2" s="1"/>
      <c r="I2" s="1"/>
      <c r="J2" s="1"/>
      <c r="K2" s="1"/>
    </row>
    <row r="3" spans="2:11" s="3" customFormat="1" ht="13.5" x14ac:dyDescent="0.25">
      <c r="B3" s="67"/>
      <c r="C3" s="67"/>
      <c r="D3" s="67"/>
      <c r="E3" s="67"/>
      <c r="F3" s="67"/>
      <c r="G3" s="1"/>
      <c r="H3" s="1"/>
      <c r="I3" s="1"/>
      <c r="J3" s="1"/>
      <c r="K3" s="1"/>
    </row>
    <row r="4" spans="2:11" s="3" customFormat="1" ht="24" customHeight="1" x14ac:dyDescent="0.25">
      <c r="B4" s="74" t="s">
        <v>60</v>
      </c>
      <c r="C4" s="74"/>
      <c r="D4" s="74"/>
      <c r="E4" s="74"/>
      <c r="F4" s="74"/>
      <c r="G4" s="1"/>
      <c r="H4" s="1"/>
      <c r="I4" s="1"/>
      <c r="J4" s="1"/>
      <c r="K4" s="1"/>
    </row>
    <row r="5" spans="2:11" s="6" customFormat="1" ht="26.25" customHeight="1" x14ac:dyDescent="0.25">
      <c r="B5" s="11"/>
      <c r="C5" s="5"/>
      <c r="D5" s="5"/>
      <c r="E5" s="5"/>
      <c r="F5" s="9"/>
      <c r="G5" s="1"/>
      <c r="H5" s="1"/>
      <c r="I5" s="1"/>
      <c r="J5" s="1"/>
      <c r="K5" s="1"/>
    </row>
    <row r="6" spans="2:11" s="3" customFormat="1" ht="24" customHeight="1" x14ac:dyDescent="0.25">
      <c r="B6" s="12"/>
      <c r="C6" s="5" t="s">
        <v>73</v>
      </c>
      <c r="D6" s="5"/>
      <c r="E6" s="5"/>
      <c r="F6" s="9"/>
      <c r="G6" s="1"/>
      <c r="H6" s="1"/>
      <c r="I6" s="1"/>
      <c r="J6" s="1"/>
      <c r="K6" s="4"/>
    </row>
    <row r="7" spans="2:11" s="3" customFormat="1" ht="15" customHeight="1" x14ac:dyDescent="0.25">
      <c r="B7" s="12"/>
      <c r="C7" s="5"/>
      <c r="D7" s="5"/>
      <c r="E7" s="5"/>
      <c r="F7" s="9"/>
      <c r="G7" s="1"/>
      <c r="H7" s="1"/>
      <c r="I7" s="1"/>
      <c r="J7" s="1"/>
      <c r="K7" s="4"/>
    </row>
    <row r="8" spans="2:11" ht="51" x14ac:dyDescent="0.2">
      <c r="B8" s="15" t="s">
        <v>0</v>
      </c>
      <c r="C8" s="19" t="s">
        <v>2</v>
      </c>
      <c r="D8" s="19" t="s">
        <v>3</v>
      </c>
      <c r="E8" s="19" t="s">
        <v>4</v>
      </c>
      <c r="F8" s="16" t="s">
        <v>9</v>
      </c>
    </row>
    <row r="9" spans="2:11" ht="47.25" customHeight="1" x14ac:dyDescent="0.2">
      <c r="B9" s="22" t="s">
        <v>7</v>
      </c>
      <c r="C9" s="60" t="s">
        <v>13</v>
      </c>
      <c r="D9" s="20" t="s">
        <v>5</v>
      </c>
      <c r="E9" s="20" t="s">
        <v>6</v>
      </c>
      <c r="F9" s="21">
        <f>Предпроект!F19</f>
        <v>85441</v>
      </c>
      <c r="H9" s="4"/>
    </row>
    <row r="10" spans="2:11" ht="31.5" customHeight="1" x14ac:dyDescent="0.2">
      <c r="B10" s="22" t="s">
        <v>33</v>
      </c>
      <c r="C10" s="23" t="s">
        <v>14</v>
      </c>
      <c r="D10" s="20" t="s">
        <v>5</v>
      </c>
      <c r="E10" s="20" t="s">
        <v>12</v>
      </c>
      <c r="F10" s="21">
        <f>Проект!F42</f>
        <v>548291</v>
      </c>
    </row>
    <row r="11" spans="2:11" ht="39" customHeight="1" x14ac:dyDescent="0.2">
      <c r="B11" s="61" t="s">
        <v>8</v>
      </c>
      <c r="C11" s="63" t="s">
        <v>72</v>
      </c>
      <c r="D11" s="20"/>
      <c r="E11" s="20"/>
      <c r="F11" s="21">
        <f>(F9+F10)*1.23467085897684</f>
        <v>782450.43280111079</v>
      </c>
    </row>
    <row r="12" spans="2:11" ht="21.75" customHeight="1" x14ac:dyDescent="0.2">
      <c r="B12" s="72"/>
      <c r="C12" s="73" t="s">
        <v>10</v>
      </c>
      <c r="D12" s="73"/>
      <c r="E12" s="20"/>
      <c r="F12" s="21">
        <f>F11</f>
        <v>782450.43280111079</v>
      </c>
    </row>
    <row r="13" spans="2:11" ht="21.75" customHeight="1" x14ac:dyDescent="0.2">
      <c r="B13" s="72"/>
      <c r="C13" s="73" t="s">
        <v>57</v>
      </c>
      <c r="D13" s="73"/>
      <c r="E13" s="20"/>
      <c r="F13" s="21">
        <f>F12*20%</f>
        <v>156490.08656022217</v>
      </c>
      <c r="H13" s="25"/>
    </row>
    <row r="14" spans="2:11" ht="21.75" customHeight="1" x14ac:dyDescent="0.2">
      <c r="B14" s="72"/>
      <c r="C14" s="71" t="s">
        <v>11</v>
      </c>
      <c r="D14" s="71"/>
      <c r="E14" s="26"/>
      <c r="F14" s="27">
        <f>F12+F13</f>
        <v>938940.51936133299</v>
      </c>
      <c r="H14" s="24"/>
    </row>
    <row r="15" spans="2:11" x14ac:dyDescent="0.2">
      <c r="B15" s="13"/>
      <c r="C15" s="2"/>
      <c r="D15" s="7"/>
      <c r="E15" s="2"/>
      <c r="F15" s="10"/>
    </row>
    <row r="16" spans="2:11" ht="19.5" customHeight="1" x14ac:dyDescent="0.25">
      <c r="B16" s="1"/>
      <c r="D16" s="68"/>
      <c r="E16" s="68"/>
      <c r="F16" s="68"/>
    </row>
    <row r="17" spans="2:6" ht="13.5" customHeight="1" x14ac:dyDescent="0.25">
      <c r="B17" s="1"/>
      <c r="C17" s="17" t="s">
        <v>66</v>
      </c>
      <c r="D17" s="69" t="s">
        <v>65</v>
      </c>
      <c r="E17" s="69"/>
      <c r="F17" s="69"/>
    </row>
    <row r="18" spans="2:6" ht="13.5" customHeight="1" x14ac:dyDescent="0.25">
      <c r="B18" s="1"/>
      <c r="C18" s="18"/>
      <c r="D18" s="70"/>
      <c r="E18" s="70"/>
      <c r="F18" s="70"/>
    </row>
    <row r="19" spans="2:6" x14ac:dyDescent="0.2">
      <c r="D19" s="8"/>
    </row>
    <row r="20" spans="2:6" x14ac:dyDescent="0.2">
      <c r="D20" s="8"/>
    </row>
  </sheetData>
  <mergeCells count="9">
    <mergeCell ref="B1:F3"/>
    <mergeCell ref="D16:F16"/>
    <mergeCell ref="D17:F17"/>
    <mergeCell ref="D18:F18"/>
    <mergeCell ref="C14:D14"/>
    <mergeCell ref="B12:B14"/>
    <mergeCell ref="C12:D12"/>
    <mergeCell ref="C13:D13"/>
    <mergeCell ref="B4:F4"/>
  </mergeCells>
  <pageMargins left="0.46" right="0.23622047244094491" top="0.5" bottom="0.74803149606299213" header="0.31496062992125984" footer="0.31496062992125984"/>
  <pageSetup paperSize="9" scale="97" fitToHeight="18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3"/>
  <sheetViews>
    <sheetView view="pageBreakPreview" topLeftCell="B1" zoomScaleNormal="100" zoomScaleSheetLayoutView="100" workbookViewId="0">
      <selection activeCell="D10" sqref="D10"/>
    </sheetView>
  </sheetViews>
  <sheetFormatPr defaultRowHeight="12.75" x14ac:dyDescent="0.2"/>
  <cols>
    <col min="1" max="1" width="2.7109375" style="1" hidden="1" customWidth="1"/>
    <col min="2" max="2" width="5" style="14" customWidth="1"/>
    <col min="3" max="3" width="23.5703125" style="1" customWidth="1"/>
    <col min="4" max="4" width="84.42578125" style="1" customWidth="1"/>
    <col min="5" max="5" width="16.140625" style="1" customWidth="1"/>
    <col min="6" max="6" width="12.5703125" style="4" customWidth="1"/>
    <col min="7" max="7" width="15.42578125" style="1" customWidth="1"/>
    <col min="8" max="8" width="18.28515625" style="1" customWidth="1"/>
    <col min="9" max="9" width="3.140625" style="1" customWidth="1"/>
    <col min="10" max="10" width="3.7109375" style="1" customWidth="1"/>
    <col min="11" max="11" width="16.42578125" style="1" customWidth="1"/>
    <col min="12" max="12" width="12" style="1" customWidth="1"/>
    <col min="13" max="13" width="13.28515625" style="1" customWidth="1"/>
    <col min="14" max="14" width="11.7109375" style="1" bestFit="1" customWidth="1"/>
    <col min="15" max="16384" width="9.140625" style="1"/>
  </cols>
  <sheetData>
    <row r="1" spans="2:11" ht="10.5" customHeight="1" x14ac:dyDescent="0.2">
      <c r="B1" s="28"/>
    </row>
    <row r="2" spans="2:11" ht="15.75" hidden="1" x14ac:dyDescent="0.25">
      <c r="B2" s="29"/>
    </row>
    <row r="3" spans="2:11" ht="15.75" hidden="1" x14ac:dyDescent="0.25">
      <c r="B3" s="29"/>
    </row>
    <row r="4" spans="2:11" ht="9.75" customHeight="1" x14ac:dyDescent="0.2">
      <c r="B4" s="67" t="str">
        <f>Свод!B1</f>
        <v>000-13-1-04.40-1357 Проектирование. Модернизация комплекса телемеханики ССПИ на ПС-110/10 кВ № 311 "Шипицино" Архангельская область, Котласский район, п.Шипицыно (1 комплекс)</v>
      </c>
      <c r="C4" s="67"/>
      <c r="D4" s="67"/>
      <c r="E4" s="67"/>
      <c r="F4" s="67"/>
    </row>
    <row r="5" spans="2:11" s="3" customFormat="1" ht="13.5" customHeight="1" x14ac:dyDescent="0.25">
      <c r="B5" s="67"/>
      <c r="C5" s="67"/>
      <c r="D5" s="67"/>
      <c r="E5" s="67"/>
      <c r="F5" s="67"/>
      <c r="G5" s="1"/>
      <c r="H5" s="1"/>
      <c r="I5" s="1"/>
      <c r="J5" s="1"/>
      <c r="K5" s="1"/>
    </row>
    <row r="6" spans="2:11" s="3" customFormat="1" ht="13.5" x14ac:dyDescent="0.25">
      <c r="B6" s="67"/>
      <c r="C6" s="67"/>
      <c r="D6" s="67"/>
      <c r="E6" s="67"/>
      <c r="F6" s="67"/>
      <c r="G6" s="1"/>
      <c r="H6" s="1"/>
      <c r="I6" s="1"/>
      <c r="J6" s="1"/>
      <c r="K6" s="1"/>
    </row>
    <row r="7" spans="2:11" s="3" customFormat="1" ht="22.5" customHeight="1" x14ac:dyDescent="0.25">
      <c r="B7" s="30"/>
      <c r="C7" s="74" t="s">
        <v>15</v>
      </c>
      <c r="D7" s="74"/>
      <c r="E7" s="74"/>
      <c r="F7" s="31"/>
      <c r="G7" s="1"/>
      <c r="H7" s="1"/>
      <c r="I7" s="1"/>
      <c r="J7" s="1"/>
      <c r="K7" s="1"/>
    </row>
    <row r="8" spans="2:11" s="6" customFormat="1" ht="15.75" x14ac:dyDescent="0.25">
      <c r="B8" s="11"/>
      <c r="C8" s="5" t="s">
        <v>1</v>
      </c>
      <c r="D8" s="5"/>
      <c r="E8" s="5"/>
      <c r="F8" s="9"/>
      <c r="G8" s="1"/>
      <c r="H8" s="1"/>
      <c r="I8" s="1"/>
      <c r="J8" s="1"/>
      <c r="K8" s="1"/>
    </row>
    <row r="9" spans="2:11" s="3" customFormat="1" ht="15.75" x14ac:dyDescent="0.25">
      <c r="B9" s="12"/>
      <c r="C9" s="5" t="s">
        <v>61</v>
      </c>
      <c r="D9" s="5"/>
      <c r="E9" s="5"/>
      <c r="F9" s="9"/>
      <c r="G9" s="1"/>
      <c r="H9" s="1"/>
      <c r="I9" s="1"/>
      <c r="J9" s="1"/>
      <c r="K9" s="4"/>
    </row>
    <row r="10" spans="2:11" ht="64.5" thickBot="1" x14ac:dyDescent="0.25">
      <c r="B10" s="15" t="s">
        <v>0</v>
      </c>
      <c r="C10" s="19" t="s">
        <v>16</v>
      </c>
      <c r="D10" s="19" t="s">
        <v>17</v>
      </c>
      <c r="E10" s="19" t="s">
        <v>18</v>
      </c>
      <c r="F10" s="16" t="s">
        <v>19</v>
      </c>
    </row>
    <row r="11" spans="2:11" ht="22.5" customHeight="1" thickBot="1" x14ac:dyDescent="0.25">
      <c r="B11" s="32">
        <v>1</v>
      </c>
      <c r="C11" s="79" t="s">
        <v>20</v>
      </c>
      <c r="D11" s="80"/>
      <c r="E11" s="80"/>
      <c r="F11" s="33">
        <f>F16</f>
        <v>85441</v>
      </c>
    </row>
    <row r="12" spans="2:11" ht="14.25" customHeight="1" x14ac:dyDescent="0.2">
      <c r="B12" s="81" t="s">
        <v>21</v>
      </c>
      <c r="C12" s="83" t="s">
        <v>22</v>
      </c>
      <c r="D12" s="85" t="s">
        <v>68</v>
      </c>
      <c r="E12" s="86"/>
      <c r="F12" s="34">
        <f>(SUM(E13:E15))*3</f>
        <v>2346</v>
      </c>
    </row>
    <row r="13" spans="2:11" ht="15.75" x14ac:dyDescent="0.2">
      <c r="B13" s="82"/>
      <c r="C13" s="84"/>
      <c r="D13" s="35" t="s">
        <v>23</v>
      </c>
      <c r="E13" s="36">
        <v>604</v>
      </c>
      <c r="F13" s="37"/>
    </row>
    <row r="14" spans="2:11" ht="20.25" customHeight="1" x14ac:dyDescent="0.2">
      <c r="B14" s="82"/>
      <c r="C14" s="84"/>
      <c r="D14" s="35" t="s">
        <v>67</v>
      </c>
      <c r="E14" s="59">
        <v>177</v>
      </c>
      <c r="F14" s="37"/>
    </row>
    <row r="15" spans="2:11" ht="20.25" customHeight="1" x14ac:dyDescent="0.2">
      <c r="B15" s="82"/>
      <c r="C15" s="84"/>
      <c r="D15" s="35" t="s">
        <v>31</v>
      </c>
      <c r="E15" s="36">
        <v>1</v>
      </c>
      <c r="F15" s="37"/>
    </row>
    <row r="16" spans="2:11" ht="15.75" customHeight="1" x14ac:dyDescent="0.2">
      <c r="B16" s="81" t="s">
        <v>24</v>
      </c>
      <c r="C16" s="88" t="s">
        <v>25</v>
      </c>
      <c r="D16" s="91" t="s">
        <v>26</v>
      </c>
      <c r="E16" s="92"/>
      <c r="F16" s="38">
        <f>ROUND(E17*E18,0)</f>
        <v>85441</v>
      </c>
    </row>
    <row r="17" spans="2:6" ht="15.75" x14ac:dyDescent="0.2">
      <c r="B17" s="82"/>
      <c r="C17" s="89"/>
      <c r="D17" s="35" t="s">
        <v>27</v>
      </c>
      <c r="E17" s="39">
        <f>F12</f>
        <v>2346</v>
      </c>
      <c r="F17" s="37"/>
    </row>
    <row r="18" spans="2:6" ht="26.25" thickBot="1" x14ac:dyDescent="0.25">
      <c r="B18" s="87"/>
      <c r="C18" s="90"/>
      <c r="D18" s="53" t="s">
        <v>62</v>
      </c>
      <c r="E18" s="59">
        <v>36.42</v>
      </c>
      <c r="F18" s="37"/>
    </row>
    <row r="19" spans="2:6" ht="19.5" customHeight="1" x14ac:dyDescent="0.2">
      <c r="B19" s="40"/>
      <c r="C19" s="93" t="s">
        <v>28</v>
      </c>
      <c r="D19" s="93"/>
      <c r="E19" s="41"/>
      <c r="F19" s="42">
        <f>F11</f>
        <v>85441</v>
      </c>
    </row>
    <row r="20" spans="2:6" ht="20.25" customHeight="1" x14ac:dyDescent="0.2">
      <c r="B20" s="43"/>
      <c r="C20" s="75" t="s">
        <v>63</v>
      </c>
      <c r="D20" s="76"/>
      <c r="E20" s="26"/>
      <c r="F20" s="44">
        <f>F19*0.2</f>
        <v>17088.2</v>
      </c>
    </row>
    <row r="21" spans="2:6" ht="20.25" customHeight="1" thickBot="1" x14ac:dyDescent="0.25">
      <c r="B21" s="45"/>
      <c r="C21" s="77" t="s">
        <v>29</v>
      </c>
      <c r="D21" s="78"/>
      <c r="E21" s="46"/>
      <c r="F21" s="47">
        <f>F19+F20</f>
        <v>102529.2</v>
      </c>
    </row>
    <row r="22" spans="2:6" x14ac:dyDescent="0.2">
      <c r="B22" s="13"/>
      <c r="C22" s="2"/>
      <c r="D22" s="7"/>
      <c r="E22" s="2"/>
      <c r="F22" s="10"/>
    </row>
    <row r="23" spans="2:6" ht="14.25" customHeight="1" x14ac:dyDescent="0.25">
      <c r="B23" s="1"/>
      <c r="D23" s="68"/>
      <c r="E23" s="68"/>
      <c r="F23" s="48"/>
    </row>
  </sheetData>
  <mergeCells count="13">
    <mergeCell ref="C20:D20"/>
    <mergeCell ref="C21:D21"/>
    <mergeCell ref="D23:E23"/>
    <mergeCell ref="B4:F6"/>
    <mergeCell ref="C7:E7"/>
    <mergeCell ref="C11:E11"/>
    <mergeCell ref="B12:B15"/>
    <mergeCell ref="C12:C15"/>
    <mergeCell ref="D12:E12"/>
    <mergeCell ref="B16:B18"/>
    <mergeCell ref="C16:C18"/>
    <mergeCell ref="D16:E16"/>
    <mergeCell ref="C19:D19"/>
  </mergeCells>
  <pageMargins left="0.23622047244094491" right="0.23622047244094491" top="0.39" bottom="0.45" header="0.23" footer="0.31496062992125984"/>
  <pageSetup paperSize="9" fitToHeight="18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4"/>
  <sheetViews>
    <sheetView view="pageBreakPreview" topLeftCell="B1" zoomScale="91" zoomScaleNormal="100" zoomScaleSheetLayoutView="91" workbookViewId="0">
      <selection activeCell="E40" sqref="E40"/>
    </sheetView>
  </sheetViews>
  <sheetFormatPr defaultRowHeight="12.75" x14ac:dyDescent="0.2"/>
  <cols>
    <col min="1" max="1" width="2.7109375" style="1" hidden="1" customWidth="1"/>
    <col min="2" max="2" width="5" style="14" customWidth="1"/>
    <col min="3" max="3" width="25.7109375" style="1" customWidth="1"/>
    <col min="4" max="4" width="87.42578125" style="1" customWidth="1"/>
    <col min="5" max="5" width="16.140625" style="1" customWidth="1"/>
    <col min="6" max="6" width="13.85546875" style="4" customWidth="1"/>
    <col min="7" max="7" width="15.42578125" style="1" customWidth="1"/>
    <col min="8" max="8" width="18.28515625" style="1" customWidth="1"/>
    <col min="9" max="9" width="3.140625" style="1" customWidth="1"/>
    <col min="10" max="10" width="3.7109375" style="1" customWidth="1"/>
    <col min="11" max="11" width="16.42578125" style="1" customWidth="1"/>
    <col min="12" max="12" width="12" style="1" customWidth="1"/>
    <col min="13" max="13" width="13.28515625" style="1" customWidth="1"/>
    <col min="14" max="14" width="11.7109375" style="1" bestFit="1" customWidth="1"/>
    <col min="15" max="16384" width="9.140625" style="1"/>
  </cols>
  <sheetData>
    <row r="1" spans="2:11" ht="4.5" customHeight="1" x14ac:dyDescent="0.2">
      <c r="B1" s="28"/>
    </row>
    <row r="2" spans="2:11" ht="12.75" customHeight="1" x14ac:dyDescent="0.2">
      <c r="B2" s="67" t="str">
        <f>Свод!B1</f>
        <v>000-13-1-04.40-1357 Проектирование. Модернизация комплекса телемеханики ССПИ на ПС-110/10 кВ № 311 "Шипицино" Архангельская область, Котласский район, п.Шипицыно (1 комплекс)</v>
      </c>
      <c r="C2" s="67"/>
      <c r="D2" s="67"/>
      <c r="E2" s="67"/>
      <c r="F2" s="67"/>
    </row>
    <row r="3" spans="2:11" s="3" customFormat="1" ht="19.5" customHeight="1" x14ac:dyDescent="0.25">
      <c r="B3" s="67"/>
      <c r="C3" s="67"/>
      <c r="D3" s="67"/>
      <c r="E3" s="67"/>
      <c r="F3" s="67"/>
      <c r="G3" s="1"/>
      <c r="H3" s="1"/>
      <c r="I3" s="1"/>
      <c r="J3" s="1"/>
      <c r="K3" s="1"/>
    </row>
    <row r="4" spans="2:11" s="3" customFormat="1" ht="13.5" x14ac:dyDescent="0.25">
      <c r="B4" s="67"/>
      <c r="C4" s="67"/>
      <c r="D4" s="67"/>
      <c r="E4" s="67"/>
      <c r="F4" s="67"/>
      <c r="G4" s="1"/>
      <c r="H4" s="1"/>
      <c r="I4" s="1"/>
      <c r="J4" s="1"/>
      <c r="K4" s="1"/>
    </row>
    <row r="5" spans="2:11" s="3" customFormat="1" ht="22.5" customHeight="1" x14ac:dyDescent="0.25">
      <c r="B5" s="30"/>
      <c r="C5" s="49"/>
      <c r="D5" s="58" t="s">
        <v>70</v>
      </c>
      <c r="E5" s="49"/>
      <c r="F5" s="31"/>
      <c r="G5" s="1"/>
      <c r="H5" s="1"/>
      <c r="I5" s="1"/>
      <c r="J5" s="1"/>
      <c r="K5" s="1"/>
    </row>
    <row r="6" spans="2:11" s="6" customFormat="1" ht="15.75" x14ac:dyDescent="0.25">
      <c r="B6" s="11"/>
      <c r="C6" s="5"/>
      <c r="D6" s="5"/>
      <c r="E6" s="5"/>
      <c r="F6" s="9"/>
      <c r="G6" s="1"/>
      <c r="H6" s="1"/>
      <c r="I6" s="1"/>
      <c r="J6" s="1"/>
      <c r="K6" s="1"/>
    </row>
    <row r="7" spans="2:11" s="3" customFormat="1" ht="15.75" x14ac:dyDescent="0.25">
      <c r="B7" s="12"/>
      <c r="C7" s="5" t="s">
        <v>61</v>
      </c>
      <c r="D7" s="5"/>
      <c r="E7" s="5"/>
      <c r="F7" s="9"/>
      <c r="G7" s="1"/>
      <c r="H7" s="1"/>
      <c r="I7" s="1"/>
      <c r="J7" s="1"/>
      <c r="K7" s="4"/>
    </row>
    <row r="8" spans="2:11" ht="64.5" thickBot="1" x14ac:dyDescent="0.25">
      <c r="B8" s="15" t="s">
        <v>0</v>
      </c>
      <c r="C8" s="54" t="s">
        <v>16</v>
      </c>
      <c r="D8" s="54" t="s">
        <v>34</v>
      </c>
      <c r="E8" s="54" t="s">
        <v>18</v>
      </c>
      <c r="F8" s="16" t="s">
        <v>19</v>
      </c>
    </row>
    <row r="9" spans="2:11" ht="26.25" customHeight="1" thickBot="1" x14ac:dyDescent="0.25">
      <c r="B9" s="32" t="s">
        <v>7</v>
      </c>
      <c r="C9" s="79" t="s">
        <v>35</v>
      </c>
      <c r="D9" s="80"/>
      <c r="E9" s="80"/>
      <c r="F9" s="33"/>
    </row>
    <row r="10" spans="2:11" ht="18" customHeight="1" x14ac:dyDescent="0.2">
      <c r="B10" s="96" t="s">
        <v>21</v>
      </c>
      <c r="C10" s="98" t="s">
        <v>36</v>
      </c>
      <c r="D10" s="100" t="s">
        <v>37</v>
      </c>
      <c r="E10" s="101"/>
      <c r="F10" s="55">
        <f>E11*E12</f>
        <v>573800</v>
      </c>
    </row>
    <row r="11" spans="2:11" ht="32.25" customHeight="1" x14ac:dyDescent="0.2">
      <c r="B11" s="82"/>
      <c r="C11" s="89"/>
      <c r="D11" s="35" t="s">
        <v>38</v>
      </c>
      <c r="E11" s="62">
        <v>573800</v>
      </c>
      <c r="F11" s="37"/>
    </row>
    <row r="12" spans="2:11" ht="24.75" customHeight="1" thickBot="1" x14ac:dyDescent="0.25">
      <c r="B12" s="82"/>
      <c r="C12" s="89"/>
      <c r="D12" s="35" t="s">
        <v>39</v>
      </c>
      <c r="E12" s="62">
        <v>1</v>
      </c>
      <c r="F12" s="37"/>
    </row>
    <row r="13" spans="2:11" ht="22.5" customHeight="1" x14ac:dyDescent="0.2">
      <c r="B13" s="96" t="s">
        <v>40</v>
      </c>
      <c r="C13" s="98" t="s">
        <v>41</v>
      </c>
      <c r="D13" s="100" t="s">
        <v>42</v>
      </c>
      <c r="E13" s="101"/>
      <c r="F13" s="56">
        <f>E17-(E17-E18)/(E15-E16)*(E15-E14)</f>
        <v>55467.333333333256</v>
      </c>
    </row>
    <row r="14" spans="2:11" ht="21" customHeight="1" x14ac:dyDescent="0.2">
      <c r="B14" s="82"/>
      <c r="C14" s="89"/>
      <c r="D14" s="35" t="s">
        <v>43</v>
      </c>
      <c r="E14" s="39">
        <f>F10</f>
        <v>573800</v>
      </c>
      <c r="F14" s="37"/>
    </row>
    <row r="15" spans="2:11" ht="15.75" x14ac:dyDescent="0.2">
      <c r="B15" s="82"/>
      <c r="C15" s="89"/>
      <c r="D15" s="35" t="s">
        <v>44</v>
      </c>
      <c r="E15" s="39">
        <v>12000000</v>
      </c>
      <c r="F15" s="37"/>
    </row>
    <row r="16" spans="2:11" ht="28.5" x14ac:dyDescent="0.2">
      <c r="B16" s="82"/>
      <c r="C16" s="89"/>
      <c r="D16" s="35" t="s">
        <v>45</v>
      </c>
      <c r="E16" s="39">
        <v>2000000</v>
      </c>
      <c r="F16" s="37"/>
    </row>
    <row r="17" spans="2:6" ht="31.5" x14ac:dyDescent="0.2">
      <c r="B17" s="82"/>
      <c r="C17" s="89"/>
      <c r="D17" s="35" t="s">
        <v>46</v>
      </c>
      <c r="E17" s="39">
        <v>1160000</v>
      </c>
      <c r="F17" s="37"/>
    </row>
    <row r="18" spans="2:6" ht="32.25" thickBot="1" x14ac:dyDescent="0.25">
      <c r="B18" s="97"/>
      <c r="C18" s="99"/>
      <c r="D18" s="53" t="s">
        <v>47</v>
      </c>
      <c r="E18" s="39">
        <f>E16*E17/E15</f>
        <v>193333.33333333334</v>
      </c>
      <c r="F18" s="57"/>
    </row>
    <row r="19" spans="2:6" ht="32.25" customHeight="1" x14ac:dyDescent="0.2">
      <c r="B19" s="94" t="s">
        <v>51</v>
      </c>
      <c r="C19" s="95" t="s">
        <v>52</v>
      </c>
      <c r="D19" s="35" t="s">
        <v>52</v>
      </c>
      <c r="E19" s="39"/>
      <c r="F19" s="50">
        <f>SUM(E20:E23)</f>
        <v>23296.279999999966</v>
      </c>
    </row>
    <row r="20" spans="2:6" ht="25.5" customHeight="1" x14ac:dyDescent="0.2">
      <c r="B20" s="94"/>
      <c r="C20" s="95"/>
      <c r="D20" s="35" t="s">
        <v>53</v>
      </c>
      <c r="E20" s="52">
        <f>F13*0.14</f>
        <v>7765.4266666666563</v>
      </c>
      <c r="F20" s="50"/>
    </row>
    <row r="21" spans="2:6" ht="25.5" customHeight="1" x14ac:dyDescent="0.2">
      <c r="B21" s="94"/>
      <c r="C21" s="95"/>
      <c r="D21" s="35" t="s">
        <v>54</v>
      </c>
      <c r="E21" s="52">
        <f>F13*0.15</f>
        <v>8320.0999999999876</v>
      </c>
      <c r="F21" s="50"/>
    </row>
    <row r="22" spans="2:6" ht="25.5" customHeight="1" x14ac:dyDescent="0.2">
      <c r="B22" s="94"/>
      <c r="C22" s="95"/>
      <c r="D22" s="35" t="s">
        <v>55</v>
      </c>
      <c r="E22" s="52">
        <f>F13*0.03</f>
        <v>1664.0199999999977</v>
      </c>
      <c r="F22" s="50"/>
    </row>
    <row r="23" spans="2:6" ht="25.5" customHeight="1" thickBot="1" x14ac:dyDescent="0.25">
      <c r="B23" s="94"/>
      <c r="C23" s="95"/>
      <c r="D23" s="51" t="s">
        <v>56</v>
      </c>
      <c r="E23" s="52">
        <f>F13*0.1</f>
        <v>5546.7333333333263</v>
      </c>
      <c r="F23" s="50"/>
    </row>
    <row r="24" spans="2:6" ht="26.25" customHeight="1" thickBot="1" x14ac:dyDescent="0.25">
      <c r="B24" s="32" t="s">
        <v>33</v>
      </c>
      <c r="C24" s="79" t="s">
        <v>48</v>
      </c>
      <c r="D24" s="80"/>
      <c r="E24" s="80"/>
      <c r="F24" s="33"/>
    </row>
    <row r="25" spans="2:6" ht="18" customHeight="1" x14ac:dyDescent="0.2">
      <c r="B25" s="96" t="s">
        <v>30</v>
      </c>
      <c r="C25" s="98" t="s">
        <v>36</v>
      </c>
      <c r="D25" s="100" t="s">
        <v>37</v>
      </c>
      <c r="E25" s="101"/>
      <c r="F25" s="55">
        <f>E26*E27</f>
        <v>620300</v>
      </c>
    </row>
    <row r="26" spans="2:6" ht="32.25" customHeight="1" x14ac:dyDescent="0.2">
      <c r="B26" s="82"/>
      <c r="C26" s="89"/>
      <c r="D26" s="35" t="s">
        <v>49</v>
      </c>
      <c r="E26" s="62">
        <v>620300</v>
      </c>
      <c r="F26" s="37"/>
    </row>
    <row r="27" spans="2:6" ht="24.75" customHeight="1" thickBot="1" x14ac:dyDescent="0.25">
      <c r="B27" s="82"/>
      <c r="C27" s="89"/>
      <c r="D27" s="35" t="s">
        <v>39</v>
      </c>
      <c r="E27" s="62">
        <v>1</v>
      </c>
      <c r="F27" s="37"/>
    </row>
    <row r="28" spans="2:6" ht="22.5" customHeight="1" x14ac:dyDescent="0.2">
      <c r="B28" s="96" t="s">
        <v>32</v>
      </c>
      <c r="C28" s="98" t="s">
        <v>41</v>
      </c>
      <c r="D28" s="100" t="s">
        <v>42</v>
      </c>
      <c r="E28" s="101"/>
      <c r="F28" s="56">
        <f>E32-(E32-E33)/(E30-E31)*(E30-E29)</f>
        <v>59962.333333333256</v>
      </c>
    </row>
    <row r="29" spans="2:6" ht="21" customHeight="1" x14ac:dyDescent="0.2">
      <c r="B29" s="82"/>
      <c r="C29" s="89"/>
      <c r="D29" s="35" t="s">
        <v>43</v>
      </c>
      <c r="E29" s="39">
        <f>F25</f>
        <v>620300</v>
      </c>
      <c r="F29" s="37"/>
    </row>
    <row r="30" spans="2:6" ht="15.75" x14ac:dyDescent="0.2">
      <c r="B30" s="82"/>
      <c r="C30" s="89"/>
      <c r="D30" s="35" t="s">
        <v>44</v>
      </c>
      <c r="E30" s="39">
        <v>12000000</v>
      </c>
      <c r="F30" s="37"/>
    </row>
    <row r="31" spans="2:6" ht="28.5" x14ac:dyDescent="0.2">
      <c r="B31" s="82"/>
      <c r="C31" s="89"/>
      <c r="D31" s="35" t="s">
        <v>45</v>
      </c>
      <c r="E31" s="39">
        <v>2000000</v>
      </c>
      <c r="F31" s="37"/>
    </row>
    <row r="32" spans="2:6" ht="31.5" x14ac:dyDescent="0.2">
      <c r="B32" s="82"/>
      <c r="C32" s="89"/>
      <c r="D32" s="35" t="s">
        <v>46</v>
      </c>
      <c r="E32" s="39">
        <v>1160000</v>
      </c>
      <c r="F32" s="37"/>
    </row>
    <row r="33" spans="2:6" ht="32.25" thickBot="1" x14ac:dyDescent="0.25">
      <c r="B33" s="97"/>
      <c r="C33" s="99"/>
      <c r="D33" s="53" t="s">
        <v>47</v>
      </c>
      <c r="E33" s="39">
        <f>E31*E32/E30</f>
        <v>193333.33333333334</v>
      </c>
      <c r="F33" s="57"/>
    </row>
    <row r="34" spans="2:6" ht="32.25" customHeight="1" x14ac:dyDescent="0.2">
      <c r="B34" s="65"/>
      <c r="C34" s="66"/>
      <c r="D34" s="35" t="s">
        <v>52</v>
      </c>
      <c r="E34" s="39"/>
      <c r="F34" s="50">
        <f>SUM(E35:E37)</f>
        <v>19187.946666666645</v>
      </c>
    </row>
    <row r="35" spans="2:6" ht="25.5" customHeight="1" x14ac:dyDescent="0.2">
      <c r="B35" s="65"/>
      <c r="C35" s="66"/>
      <c r="D35" s="35" t="s">
        <v>53</v>
      </c>
      <c r="E35" s="52">
        <f>F28*0.14</f>
        <v>8394.7266666666565</v>
      </c>
      <c r="F35" s="50"/>
    </row>
    <row r="36" spans="2:6" ht="25.5" customHeight="1" x14ac:dyDescent="0.2">
      <c r="B36" s="65"/>
      <c r="C36" s="66"/>
      <c r="D36" s="35" t="s">
        <v>54</v>
      </c>
      <c r="E36" s="52">
        <f>F28*0.15</f>
        <v>8994.3499999999876</v>
      </c>
      <c r="F36" s="50"/>
    </row>
    <row r="37" spans="2:6" ht="25.5" customHeight="1" x14ac:dyDescent="0.2">
      <c r="B37" s="65"/>
      <c r="C37" s="66"/>
      <c r="D37" s="35" t="s">
        <v>55</v>
      </c>
      <c r="E37" s="52">
        <f>F28*0.03</f>
        <v>1798.8699999999976</v>
      </c>
      <c r="F37" s="50"/>
    </row>
    <row r="38" spans="2:6" ht="25.5" customHeight="1" thickBot="1" x14ac:dyDescent="0.25">
      <c r="B38" s="64"/>
      <c r="C38" s="62"/>
      <c r="D38" s="51" t="s">
        <v>56</v>
      </c>
      <c r="E38" s="52">
        <f>F28*0.1</f>
        <v>5996.2333333333263</v>
      </c>
      <c r="F38" s="50"/>
    </row>
    <row r="39" spans="2:6" ht="16.5" customHeight="1" x14ac:dyDescent="0.2">
      <c r="B39" s="96" t="s">
        <v>69</v>
      </c>
      <c r="C39" s="98" t="s">
        <v>58</v>
      </c>
      <c r="D39" s="100" t="s">
        <v>50</v>
      </c>
      <c r="E39" s="101"/>
      <c r="F39" s="55">
        <f>ROUND(E40*E41,0)</f>
        <v>548291</v>
      </c>
    </row>
    <row r="40" spans="2:6" ht="21" customHeight="1" x14ac:dyDescent="0.2">
      <c r="B40" s="82"/>
      <c r="C40" s="89"/>
      <c r="D40" s="35" t="s">
        <v>59</v>
      </c>
      <c r="E40" s="39">
        <f>F13+F28</f>
        <v>115429.66666666651</v>
      </c>
      <c r="F40" s="37"/>
    </row>
    <row r="41" spans="2:6" ht="39" customHeight="1" thickBot="1" x14ac:dyDescent="0.25">
      <c r="B41" s="97"/>
      <c r="C41" s="99"/>
      <c r="D41" s="53" t="s">
        <v>64</v>
      </c>
      <c r="E41" s="20">
        <v>4.75</v>
      </c>
      <c r="F41" s="57"/>
    </row>
    <row r="42" spans="2:6" ht="19.5" customHeight="1" x14ac:dyDescent="0.2">
      <c r="B42" s="40"/>
      <c r="C42" s="93" t="s">
        <v>28</v>
      </c>
      <c r="D42" s="93"/>
      <c r="E42" s="41"/>
      <c r="F42" s="42">
        <f>F39</f>
        <v>548291</v>
      </c>
    </row>
    <row r="43" spans="2:6" ht="18" customHeight="1" x14ac:dyDescent="0.2">
      <c r="B43" s="43"/>
      <c r="C43" s="75" t="s">
        <v>57</v>
      </c>
      <c r="D43" s="76"/>
      <c r="E43" s="26"/>
      <c r="F43" s="44">
        <f>F42*0.2</f>
        <v>109658.20000000001</v>
      </c>
    </row>
    <row r="44" spans="2:6" ht="18" customHeight="1" thickBot="1" x14ac:dyDescent="0.25">
      <c r="B44" s="45"/>
      <c r="C44" s="77" t="s">
        <v>29</v>
      </c>
      <c r="D44" s="78"/>
      <c r="E44" s="46"/>
      <c r="F44" s="47">
        <f>F42+F43</f>
        <v>657949.19999999995</v>
      </c>
    </row>
  </sheetData>
  <autoFilter ref="B6:F44"/>
  <mergeCells count="23">
    <mergeCell ref="B13:B18"/>
    <mergeCell ref="C13:C18"/>
    <mergeCell ref="D13:E13"/>
    <mergeCell ref="C24:E24"/>
    <mergeCell ref="B25:B27"/>
    <mergeCell ref="C25:C27"/>
    <mergeCell ref="D25:E25"/>
    <mergeCell ref="B2:F4"/>
    <mergeCell ref="C9:E9"/>
    <mergeCell ref="B10:B12"/>
    <mergeCell ref="C10:C12"/>
    <mergeCell ref="D10:E10"/>
    <mergeCell ref="C43:D43"/>
    <mergeCell ref="C44:D44"/>
    <mergeCell ref="B19:B23"/>
    <mergeCell ref="C19:C23"/>
    <mergeCell ref="B39:B41"/>
    <mergeCell ref="C39:C41"/>
    <mergeCell ref="D39:E39"/>
    <mergeCell ref="C42:D42"/>
    <mergeCell ref="B28:B33"/>
    <mergeCell ref="C28:C33"/>
    <mergeCell ref="D28:E28"/>
  </mergeCells>
  <pageMargins left="0.55118110236220474" right="0.23622047244094491" top="0.23622047244094491" bottom="0.23622047244094491" header="0.19685039370078741" footer="0.15748031496062992"/>
  <pageSetup paperSize="9" scale="95" fitToHeight="3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Свод</vt:lpstr>
      <vt:lpstr>Предпроект</vt:lpstr>
      <vt:lpstr>Проект</vt:lpstr>
      <vt:lpstr>Предпроект!Область_печати</vt:lpstr>
      <vt:lpstr>Проект!Область_печати</vt:lpstr>
      <vt:lpstr>Свод!Область_печати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</dc:creator>
  <cp:lastModifiedBy>Чижова Анастасия Николаевна</cp:lastModifiedBy>
  <cp:lastPrinted>2016-03-15T14:03:37Z</cp:lastPrinted>
  <dcterms:created xsi:type="dcterms:W3CDTF">2014-04-14T08:49:41Z</dcterms:created>
  <dcterms:modified xsi:type="dcterms:W3CDTF">2022-01-19T13:53:01Z</dcterms:modified>
</cp:coreProperties>
</file>